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im\AppData\Local\Microsoft\Windows\INetCache\Content.Outlook\9QDBH7UJ\"/>
    </mc:Choice>
  </mc:AlternateContent>
  <xr:revisionPtr revIDLastSave="0" documentId="8_{D9BD3D61-BDA0-4C9E-81CB-3AE06BCC8F11}" xr6:coauthVersionLast="45" xr6:coauthVersionMax="45" xr10:uidLastSave="{00000000-0000-0000-0000-000000000000}"/>
  <bookViews>
    <workbookView xWindow="-120" yWindow="-120" windowWidth="29040" windowHeight="15840" xr2:uid="{16565DC5-4065-4065-A5D4-666928A044E6}"/>
  </bookViews>
  <sheets>
    <sheet name="פנסיה" sheetId="1" r:id="rId1"/>
    <sheet name="קרן השתלמות" sheetId="2" r:id="rId2"/>
    <sheet name="נתוני חישוב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3" l="1"/>
  <c r="W4" i="3"/>
  <c r="W5" i="3" s="1"/>
  <c r="C9" i="2"/>
  <c r="L6" i="2" s="1"/>
  <c r="C8" i="2"/>
  <c r="K8" i="2" s="1"/>
  <c r="W11" i="3" l="1"/>
  <c r="M7" i="3"/>
  <c r="M6" i="3"/>
  <c r="M5" i="3"/>
  <c r="M4" i="3"/>
  <c r="M3" i="3"/>
  <c r="N3" i="3" s="1"/>
  <c r="N4" i="3" s="1"/>
  <c r="N5" i="3" s="1"/>
  <c r="D6" i="3"/>
  <c r="D3" i="3"/>
  <c r="R12" i="3" s="1"/>
  <c r="R20" i="3" s="1"/>
  <c r="N6" i="3" l="1"/>
  <c r="N7" i="3" s="1"/>
  <c r="W7" i="3"/>
  <c r="W8" i="3"/>
  <c r="K12" i="3"/>
  <c r="N20" i="3" s="1"/>
  <c r="D4" i="3"/>
  <c r="W9" i="3" l="1"/>
  <c r="C10" i="2" s="1"/>
  <c r="J9" i="2" s="1"/>
  <c r="D20" i="3"/>
  <c r="E20" i="3" s="1"/>
  <c r="K15" i="3" s="1"/>
  <c r="D18" i="3"/>
  <c r="D19" i="3"/>
  <c r="E19" i="3" s="1"/>
  <c r="H19" i="3" s="1"/>
  <c r="B17" i="1" l="1"/>
  <c r="E18" i="3"/>
  <c r="K13" i="3"/>
  <c r="K14" i="3" s="1"/>
  <c r="K16" i="3" s="1"/>
  <c r="B19" i="1" s="1"/>
  <c r="R13" i="3"/>
  <c r="R14" i="3" s="1"/>
  <c r="B21" i="1" s="1"/>
  <c r="B22" i="1" s="1"/>
  <c r="B13" i="1"/>
  <c r="D23" i="3" l="1"/>
  <c r="D22" i="3"/>
  <c r="E22" i="3" s="1"/>
  <c r="D24" i="3"/>
  <c r="B27" i="1"/>
  <c r="L22" i="3" l="1"/>
  <c r="E23" i="3"/>
  <c r="B20" i="1"/>
  <c r="B23" i="1" s="1"/>
  <c r="B5" i="1"/>
  <c r="D7" i="3" s="1"/>
  <c r="L23" i="3" l="1"/>
  <c r="N23" i="3" s="1"/>
  <c r="E24" i="3"/>
  <c r="L24" i="3" s="1"/>
  <c r="L25" i="3" s="1"/>
  <c r="L26" i="3" s="1"/>
  <c r="D8" i="3"/>
  <c r="E5" i="3"/>
  <c r="F5" i="3" s="1"/>
  <c r="Q40" i="1"/>
  <c r="B14" i="1"/>
  <c r="B10" i="1"/>
  <c r="B18" i="1" s="1"/>
  <c r="N21" i="3" l="1"/>
  <c r="N22" i="3" s="1"/>
  <c r="N24" i="3" s="1"/>
  <c r="B28" i="1" s="1"/>
  <c r="B29" i="1" s="1"/>
  <c r="R21" i="3"/>
  <c r="R22" i="3" s="1"/>
  <c r="B30" i="1" s="1"/>
  <c r="B31" i="1" s="1"/>
  <c r="B7" i="1"/>
  <c r="D10" i="3"/>
  <c r="B8" i="1" s="1"/>
  <c r="B32" i="1" l="1"/>
</calcChain>
</file>

<file path=xl/sharedStrings.xml><?xml version="1.0" encoding="utf-8"?>
<sst xmlns="http://schemas.openxmlformats.org/spreadsheetml/2006/main" count="92" uniqueCount="65">
  <si>
    <t>תאריך לידה</t>
  </si>
  <si>
    <t>תאריך החישוב</t>
  </si>
  <si>
    <t>הכנסה חודשית</t>
  </si>
  <si>
    <t>הכנסה שנתית</t>
  </si>
  <si>
    <t>גיל</t>
  </si>
  <si>
    <t>האם חייב בהפקדה</t>
  </si>
  <si>
    <t>סה"כ הפקדה שנתית</t>
  </si>
  <si>
    <t>סה"כ ממוצע חודשי</t>
  </si>
  <si>
    <t>הפקדה לפנסיית חובה</t>
  </si>
  <si>
    <t>הפקדה מקסימלית לניצול הטבות מס</t>
  </si>
  <si>
    <t>סה"כ החזר מס חודשי</t>
  </si>
  <si>
    <t>סה"כ החזר מס שנתי</t>
  </si>
  <si>
    <t>אחוז ההחזר מההפקדה</t>
  </si>
  <si>
    <t>בחרתי להפקיד</t>
  </si>
  <si>
    <t>סה"כ הפקדה חודשית</t>
  </si>
  <si>
    <t xml:space="preserve">תקרת הכנסה שנתית </t>
  </si>
  <si>
    <t>סה"כ הכנסה שנתית</t>
  </si>
  <si>
    <t>סה"כ הפקדה מותרת</t>
  </si>
  <si>
    <t>סה"כ החזר מס</t>
  </si>
  <si>
    <t>חובת ההפקדה תחול על מי שמלאו לו 21 ועד גיל 60.</t>
  </si>
  <si>
    <t>כל מי שמלאו לו 55 לפני 1/1/2017 פטור מהפקדה לפנסיית חובה.</t>
  </si>
  <si>
    <t>סה"כ הכנסה חודשית</t>
  </si>
  <si>
    <t>תאריך בסיס</t>
  </si>
  <si>
    <t>תשלום אחרון לביטוח לאומי חלקי 12.5%</t>
  </si>
  <si>
    <t>רוצה לדעת מה ההכנסה החייבת של עצמאי?</t>
  </si>
  <si>
    <t>תקרת הפקדה לעצמאי</t>
  </si>
  <si>
    <t>אחוזים</t>
  </si>
  <si>
    <t>מקסימום הפקדה</t>
  </si>
  <si>
    <t>תקרות מס הכנסה</t>
  </si>
  <si>
    <t>מס לפני</t>
  </si>
  <si>
    <t>ניכוי</t>
  </si>
  <si>
    <t>זיכוי</t>
  </si>
  <si>
    <t>מס אחרי</t>
  </si>
  <si>
    <t>שכר חודשי חייב חדש</t>
  </si>
  <si>
    <t>חיסכון ניכוי</t>
  </si>
  <si>
    <t>חיסכון זיכוי</t>
  </si>
  <si>
    <t>סה"כ חיסכון</t>
  </si>
  <si>
    <t>ביטוח לאומי</t>
  </si>
  <si>
    <t>תקרה 1</t>
  </si>
  <si>
    <t>תקרה 2</t>
  </si>
  <si>
    <t>ביטוח לאומי לפני</t>
  </si>
  <si>
    <t>ביטוח לאומי אחרי</t>
  </si>
  <si>
    <t>סה"כ חיסכון ביטוח לאומי</t>
  </si>
  <si>
    <t>סה"כ חיסכון חודשי בתשלומי ב.ל</t>
  </si>
  <si>
    <t>סה"כ חיסכון שנתי בתשלומי ב.ל</t>
  </si>
  <si>
    <t>הניכוי מקטין את השכר החייב בתשלומי ביטוח לאומי</t>
  </si>
  <si>
    <t>גם בתשלומים לביטוח לאומי</t>
  </si>
  <si>
    <t>סה"כ ניכוי</t>
  </si>
  <si>
    <t>שכר חדש</t>
  </si>
  <si>
    <t xml:space="preserve">בחרתי להפקיד רק את הסכום הנ"ל, זה יהיה שיעור ההחזר </t>
  </si>
  <si>
    <r>
      <rPr>
        <b/>
        <sz val="11"/>
        <color theme="1"/>
        <rFont val="Arial"/>
        <family val="2"/>
        <scheme val="minor"/>
      </rPr>
      <t xml:space="preserve">לו אני זכאי. </t>
    </r>
    <r>
      <rPr>
        <b/>
        <sz val="11"/>
        <color rgb="FFFF0000"/>
        <rFont val="Arial"/>
        <family val="2"/>
        <scheme val="minor"/>
      </rPr>
      <t>מומלץ לבדוק את גובה השכר המבוטח לצורך</t>
    </r>
  </si>
  <si>
    <t>אובדן כושר עבודה ושאירים</t>
  </si>
  <si>
    <t>פנסיה חובה לעצמאים</t>
  </si>
  <si>
    <t xml:space="preserve">יתן אומדן להכנסה חודשית ממוצעת </t>
  </si>
  <si>
    <t>קרן השתלמות</t>
  </si>
  <si>
    <t>סה"כ הפקדה לניכוי</t>
  </si>
  <si>
    <t>סה"כ מס לפני</t>
  </si>
  <si>
    <t>סה"כ מס אחרי</t>
  </si>
  <si>
    <t>סה"כ חיסכון במס</t>
  </si>
  <si>
    <t xml:space="preserve">כמה מותר להפקיד - את כל התקרה המותרת להפקדה        </t>
  </si>
  <si>
    <t>כמה יוכר לצורך ניכוי? השכר בפועל ו/או תקרת ההכנסה השנתית, הנמוך מבין</t>
  </si>
  <si>
    <t xml:space="preserve">שניהם - התוצאה כפול 4.5% יוכרו כהוצאה  </t>
  </si>
  <si>
    <t xml:space="preserve">כמה החזר מס שנתי אקבל? </t>
  </si>
  <si>
    <t xml:space="preserve">הפקדות עצמאי לקרן השתלמות </t>
  </si>
  <si>
    <t xml:space="preserve">כך שהפקדה לתוכנית פנסיונית תחסוך למפקיד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</si>
</sst>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u/>
      <sz val="11"/>
      <color rgb="FFFF0000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rgb="FFFF0000"/>
      <name val="Arial"/>
      <family val="2"/>
      <charset val="177"/>
      <scheme val="minor"/>
    </font>
    <font>
      <b/>
      <u/>
      <sz val="16"/>
      <color rgb="FFFF0000"/>
      <name val="Arial"/>
      <family val="2"/>
      <scheme val="minor"/>
    </font>
    <font>
      <b/>
      <u/>
      <sz val="11"/>
      <color rgb="FF000000"/>
      <name val="Arial"/>
      <family val="2"/>
      <scheme val="minor"/>
    </font>
    <font>
      <b/>
      <sz val="11"/>
      <color rgb="FF000000"/>
      <name val="Arial"/>
      <family val="2"/>
      <scheme val="minor"/>
    </font>
    <font>
      <b/>
      <sz val="18"/>
      <color rgb="FFFF0000"/>
      <name val="Arial"/>
      <family val="2"/>
      <scheme val="minor"/>
    </font>
    <font>
      <sz val="18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 applyProtection="1">
      <protection locked="0"/>
    </xf>
    <xf numFmtId="164" fontId="0" fillId="2" borderId="1" xfId="1" applyNumberFormat="1" applyFont="1" applyFill="1" applyBorder="1" applyAlignment="1" applyProtection="1">
      <alignment horizontal="center"/>
    </xf>
    <xf numFmtId="164" fontId="0" fillId="3" borderId="1" xfId="1" applyNumberFormat="1" applyFont="1" applyFill="1" applyBorder="1" applyAlignment="1" applyProtection="1">
      <alignment horizontal="center"/>
      <protection locked="0"/>
    </xf>
    <xf numFmtId="9" fontId="0" fillId="2" borderId="0" xfId="0" applyNumberFormat="1" applyFill="1" applyProtection="1">
      <protection locked="0"/>
    </xf>
    <xf numFmtId="0" fontId="0" fillId="2" borderId="0" xfId="0" applyFill="1" applyProtection="1"/>
    <xf numFmtId="9" fontId="0" fillId="2" borderId="0" xfId="2" applyFont="1" applyFill="1" applyProtection="1"/>
    <xf numFmtId="9" fontId="0" fillId="2" borderId="0" xfId="0" applyNumberFormat="1" applyFill="1" applyProtection="1"/>
    <xf numFmtId="164" fontId="0" fillId="2" borderId="1" xfId="1" applyNumberFormat="1" applyFont="1" applyFill="1" applyBorder="1" applyAlignment="1" applyProtection="1"/>
    <xf numFmtId="14" fontId="0" fillId="3" borderId="1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/>
    <xf numFmtId="0" fontId="0" fillId="2" borderId="1" xfId="0" applyFill="1" applyBorder="1" applyAlignment="1" applyProtection="1"/>
    <xf numFmtId="164" fontId="0" fillId="3" borderId="1" xfId="1" applyNumberFormat="1" applyFont="1" applyFill="1" applyBorder="1" applyAlignment="1" applyProtection="1">
      <protection locked="0"/>
    </xf>
    <xf numFmtId="9" fontId="3" fillId="2" borderId="1" xfId="2" applyFont="1" applyFill="1" applyBorder="1" applyAlignment="1" applyProtection="1">
      <alignment horizontal="center"/>
    </xf>
    <xf numFmtId="0" fontId="0" fillId="2" borderId="0" xfId="0" applyFill="1"/>
    <xf numFmtId="164" fontId="0" fillId="2" borderId="0" xfId="1" applyNumberFormat="1" applyFont="1" applyFill="1"/>
    <xf numFmtId="0" fontId="4" fillId="2" borderId="0" xfId="0" applyFont="1" applyFill="1"/>
    <xf numFmtId="164" fontId="0" fillId="3" borderId="1" xfId="1" applyNumberFormat="1" applyFont="1" applyFill="1" applyBorder="1" applyProtection="1">
      <protection locked="0"/>
    </xf>
    <xf numFmtId="43" fontId="0" fillId="0" borderId="0" xfId="1" applyFont="1"/>
    <xf numFmtId="14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0" fontId="0" fillId="3" borderId="0" xfId="0" applyFill="1"/>
    <xf numFmtId="43" fontId="0" fillId="3" borderId="0" xfId="1" applyFont="1" applyFill="1"/>
    <xf numFmtId="10" fontId="0" fillId="0" borderId="0" xfId="0" applyNumberFormat="1"/>
    <xf numFmtId="9" fontId="0" fillId="0" borderId="0" xfId="0" applyNumberFormat="1"/>
    <xf numFmtId="43" fontId="5" fillId="0" borderId="0" xfId="0" applyNumberFormat="1" applyFont="1"/>
    <xf numFmtId="43" fontId="0" fillId="0" borderId="0" xfId="0" applyNumberFormat="1"/>
    <xf numFmtId="3" fontId="4" fillId="2" borderId="0" xfId="0" applyNumberFormat="1" applyFont="1" applyFill="1"/>
    <xf numFmtId="164" fontId="3" fillId="2" borderId="0" xfId="0" applyNumberFormat="1" applyFont="1" applyFill="1"/>
    <xf numFmtId="0" fontId="9" fillId="2" borderId="0" xfId="0" applyFont="1" applyFill="1"/>
    <xf numFmtId="0" fontId="10" fillId="2" borderId="0" xfId="0" applyFont="1" applyFill="1"/>
    <xf numFmtId="0" fontId="6" fillId="2" borderId="0" xfId="0" applyFont="1" applyFill="1" applyAlignment="1" applyProtection="1">
      <alignment horizontal="left"/>
    </xf>
    <xf numFmtId="0" fontId="6" fillId="2" borderId="0" xfId="0" applyFont="1" applyFill="1" applyProtection="1"/>
    <xf numFmtId="0" fontId="2" fillId="2" borderId="0" xfId="0" applyFont="1" applyFill="1" applyProtection="1"/>
    <xf numFmtId="14" fontId="0" fillId="0" borderId="1" xfId="0" applyNumberFormat="1" applyFill="1" applyBorder="1" applyAlignment="1" applyProtection="1"/>
    <xf numFmtId="0" fontId="2" fillId="2" borderId="0" xfId="0" applyFont="1" applyFill="1" applyAlignment="1" applyProtection="1">
      <alignment horizontal="right"/>
    </xf>
    <xf numFmtId="14" fontId="0" fillId="2" borderId="0" xfId="0" applyNumberFormat="1" applyFill="1" applyProtection="1"/>
    <xf numFmtId="0" fontId="4" fillId="2" borderId="0" xfId="0" applyFont="1" applyFill="1" applyProtection="1"/>
    <xf numFmtId="1" fontId="0" fillId="2" borderId="0" xfId="0" applyNumberFormat="1" applyFill="1" applyProtection="1"/>
    <xf numFmtId="0" fontId="0" fillId="2" borderId="2" xfId="0" applyFill="1" applyBorder="1" applyAlignment="1" applyProtection="1">
      <alignment horizontal="center"/>
    </xf>
    <xf numFmtId="10" fontId="0" fillId="2" borderId="0" xfId="0" applyNumberFormat="1" applyFill="1" applyProtection="1"/>
    <xf numFmtId="0" fontId="3" fillId="2" borderId="3" xfId="0" applyFon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3" fillId="2" borderId="0" xfId="0" applyFont="1" applyFill="1" applyProtection="1"/>
    <xf numFmtId="0" fontId="7" fillId="2" borderId="0" xfId="0" applyFont="1" applyFill="1" applyAlignment="1" applyProtection="1">
      <alignment horizontal="right" vertical="center" readingOrder="2"/>
    </xf>
    <xf numFmtId="0" fontId="8" fillId="2" borderId="0" xfId="0" applyFont="1" applyFill="1" applyAlignment="1" applyProtection="1">
      <alignment horizontal="right" vertical="center" readingOrder="2"/>
    </xf>
    <xf numFmtId="10" fontId="0" fillId="2" borderId="0" xfId="2" applyNumberFormat="1" applyFont="1" applyFill="1" applyProtection="1"/>
    <xf numFmtId="164" fontId="0" fillId="2" borderId="0" xfId="1" applyNumberFormat="1" applyFont="1" applyFill="1" applyProtection="1"/>
    <xf numFmtId="164" fontId="0" fillId="2" borderId="0" xfId="0" applyNumberFormat="1" applyFill="1" applyProtection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172212</xdr:colOff>
      <xdr:row>11</xdr:row>
      <xdr:rowOff>175260</xdr:rowOff>
    </xdr:from>
    <xdr:to>
      <xdr:col>3</xdr:col>
      <xdr:colOff>464820</xdr:colOff>
      <xdr:row>14</xdr:row>
      <xdr:rowOff>96012</xdr:rowOff>
    </xdr:to>
    <xdr:sp macro="" textlink="">
      <xdr:nvSpPr>
        <xdr:cNvPr id="2" name="חץ: ימינה 1">
          <a:extLst>
            <a:ext uri="{FF2B5EF4-FFF2-40B4-BE49-F238E27FC236}">
              <a16:creationId xmlns:a16="http://schemas.microsoft.com/office/drawing/2014/main" id="{3678CFAF-1475-488E-8CFA-7CCDDFB56AC5}"/>
            </a:ext>
          </a:extLst>
        </xdr:cNvPr>
        <xdr:cNvSpPr/>
      </xdr:nvSpPr>
      <xdr:spPr>
        <a:xfrm>
          <a:off x="10983849000" y="2301240"/>
          <a:ext cx="963168" cy="4846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he-IL" sz="1100"/>
        </a:p>
      </xdr:txBody>
    </xdr:sp>
    <xdr:clientData/>
  </xdr:twoCellAnchor>
  <xdr:twoCellAnchor>
    <xdr:from>
      <xdr:col>2</xdr:col>
      <xdr:colOff>164592</xdr:colOff>
      <xdr:row>16</xdr:row>
      <xdr:rowOff>152400</xdr:rowOff>
    </xdr:from>
    <xdr:to>
      <xdr:col>3</xdr:col>
      <xdr:colOff>472440</xdr:colOff>
      <xdr:row>19</xdr:row>
      <xdr:rowOff>65532</xdr:rowOff>
    </xdr:to>
    <xdr:sp macro="" textlink="">
      <xdr:nvSpPr>
        <xdr:cNvPr id="3" name="חץ: ימינה 2">
          <a:extLst>
            <a:ext uri="{FF2B5EF4-FFF2-40B4-BE49-F238E27FC236}">
              <a16:creationId xmlns:a16="http://schemas.microsoft.com/office/drawing/2014/main" id="{2F1676B3-A1B8-4AAE-91E7-958ED2307192}"/>
            </a:ext>
          </a:extLst>
        </xdr:cNvPr>
        <xdr:cNvSpPr/>
      </xdr:nvSpPr>
      <xdr:spPr>
        <a:xfrm>
          <a:off x="10983841380" y="3208020"/>
          <a:ext cx="978408" cy="4846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he-IL" sz="1100"/>
        </a:p>
      </xdr:txBody>
    </xdr:sp>
    <xdr:clientData/>
  </xdr:twoCellAnchor>
  <xdr:oneCellAnchor>
    <xdr:from>
      <xdr:col>4</xdr:col>
      <xdr:colOff>0</xdr:colOff>
      <xdr:row>11</xdr:row>
      <xdr:rowOff>15240</xdr:rowOff>
    </xdr:from>
    <xdr:ext cx="4724400" cy="60960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A197215-E466-44F5-918D-73FE55605094}"/>
            </a:ext>
          </a:extLst>
        </xdr:cNvPr>
        <xdr:cNvSpPr txBox="1"/>
      </xdr:nvSpPr>
      <xdr:spPr>
        <a:xfrm>
          <a:off x="10978934100" y="2141220"/>
          <a:ext cx="4724400" cy="609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algn="r" rtl="1"/>
          <a:r>
            <a:rPr lang="he-IL" sz="1100" b="1" u="sng"/>
            <a:t>הפקדה לפנסיית חובה:</a:t>
          </a:r>
        </a:p>
        <a:p>
          <a:pPr algn="r" rtl="1"/>
          <a:r>
            <a:rPr lang="he-IL" sz="1100" b="1"/>
            <a:t>עד הכנסה חודשית ממוצעת של 5,275.5 ש"ח - 4.45% מההכנסה החייבת</a:t>
          </a:r>
        </a:p>
        <a:p>
          <a:pPr algn="r" rtl="1"/>
          <a:r>
            <a:rPr lang="he-IL" sz="1100" b="1"/>
            <a:t>הכנסה חודשית נוספת עד ממוצע של 10,551 ש"ח - 12.55% מההכנסה החייבת</a:t>
          </a:r>
        </a:p>
      </xdr:txBody>
    </xdr:sp>
    <xdr:clientData/>
  </xdr:oneCellAnchor>
  <xdr:oneCellAnchor>
    <xdr:from>
      <xdr:col>3</xdr:col>
      <xdr:colOff>609600</xdr:colOff>
      <xdr:row>15</xdr:row>
      <xdr:rowOff>137160</xdr:rowOff>
    </xdr:from>
    <xdr:ext cx="3360420" cy="73914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6158872-1ABF-4FF3-AB64-47C6667E504E}"/>
            </a:ext>
          </a:extLst>
        </xdr:cNvPr>
        <xdr:cNvSpPr txBox="1"/>
      </xdr:nvSpPr>
      <xdr:spPr>
        <a:xfrm>
          <a:off x="10980343800" y="3009900"/>
          <a:ext cx="3360420" cy="739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noAutofit/>
        </a:bodyPr>
        <a:lstStyle/>
        <a:p>
          <a:pPr rtl="1"/>
          <a:r>
            <a:rPr lang="he-IL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הפקדה מקסימלית לניצול הטבות מס:</a:t>
          </a:r>
          <a:endParaRPr lang="he-IL">
            <a:effectLst/>
          </a:endParaRPr>
        </a:p>
        <a:p>
          <a:pPr rtl="1"/>
          <a:r>
            <a:rPr lang="he-IL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תקרת ההכנסה החודשית - 17,600 ש"ח.</a:t>
          </a:r>
          <a:endParaRPr lang="he-IL">
            <a:effectLst/>
          </a:endParaRPr>
        </a:p>
        <a:p>
          <a:pPr rtl="1"/>
          <a:r>
            <a:rPr lang="he-IL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לצורך זיכוי - החזר</a:t>
          </a:r>
          <a:r>
            <a:rPr lang="he-IL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e-IL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בגובה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35%</a:t>
          </a:r>
          <a:r>
            <a:rPr lang="he-IL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יש להפקיד 5.5% </a:t>
          </a:r>
          <a:endParaRPr lang="he-IL">
            <a:effectLst/>
          </a:endParaRPr>
        </a:p>
        <a:p>
          <a:pPr rtl="1"/>
          <a:r>
            <a:rPr lang="he-IL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לצורך ניכוי - החזר</a:t>
          </a:r>
          <a:r>
            <a:rPr lang="he-IL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בגובה מס שולי, יש להפקיד 11% </a:t>
          </a:r>
          <a:endParaRPr lang="he-IL">
            <a:effectLst/>
          </a:endParaRPr>
        </a:p>
        <a:p>
          <a:pPr algn="r" rtl="1"/>
          <a:endParaRPr lang="he-IL" sz="1100" b="1"/>
        </a:p>
      </xdr:txBody>
    </xdr:sp>
    <xdr:clientData/>
  </xdr:oneCellAnchor>
  <xdr:twoCellAnchor>
    <xdr:from>
      <xdr:col>2</xdr:col>
      <xdr:colOff>198120</xdr:colOff>
      <xdr:row>5</xdr:row>
      <xdr:rowOff>76200</xdr:rowOff>
    </xdr:from>
    <xdr:to>
      <xdr:col>3</xdr:col>
      <xdr:colOff>457200</xdr:colOff>
      <xdr:row>7</xdr:row>
      <xdr:rowOff>179832</xdr:rowOff>
    </xdr:to>
    <xdr:sp macro="" textlink="">
      <xdr:nvSpPr>
        <xdr:cNvPr id="6" name="חץ: ימינה 5">
          <a:extLst>
            <a:ext uri="{FF2B5EF4-FFF2-40B4-BE49-F238E27FC236}">
              <a16:creationId xmlns:a16="http://schemas.microsoft.com/office/drawing/2014/main" id="{A768F51B-D781-4E78-B6A9-4DDBC892387D}"/>
            </a:ext>
          </a:extLst>
        </xdr:cNvPr>
        <xdr:cNvSpPr/>
      </xdr:nvSpPr>
      <xdr:spPr>
        <a:xfrm>
          <a:off x="10983856620" y="1066800"/>
          <a:ext cx="929640" cy="4846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he-IL" sz="1100"/>
        </a:p>
      </xdr:txBody>
    </xdr:sp>
    <xdr:clientData/>
  </xdr:twoCellAnchor>
  <xdr:twoCellAnchor>
    <xdr:from>
      <xdr:col>4</xdr:col>
      <xdr:colOff>0</xdr:colOff>
      <xdr:row>4</xdr:row>
      <xdr:rowOff>106680</xdr:rowOff>
    </xdr:from>
    <xdr:to>
      <xdr:col>10</xdr:col>
      <xdr:colOff>76200</xdr:colOff>
      <xdr:row>7</xdr:row>
      <xdr:rowOff>182880</xdr:rowOff>
    </xdr:to>
    <xdr:sp macro="" textlink="">
      <xdr:nvSpPr>
        <xdr:cNvPr id="8" name="מלבן: פינות מעוגלות 7">
          <a:extLst>
            <a:ext uri="{FF2B5EF4-FFF2-40B4-BE49-F238E27FC236}">
              <a16:creationId xmlns:a16="http://schemas.microsoft.com/office/drawing/2014/main" id="{DAD76303-B7F6-4746-A372-C55BC57B7E22}"/>
            </a:ext>
          </a:extLst>
        </xdr:cNvPr>
        <xdr:cNvSpPr/>
      </xdr:nvSpPr>
      <xdr:spPr>
        <a:xfrm>
          <a:off x="10979962800" y="906780"/>
          <a:ext cx="3695700" cy="64770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r>
            <a:rPr lang="en-US" sz="1100"/>
            <a:t>bbbbbbb</a:t>
          </a:r>
          <a:endParaRPr lang="he-IL" sz="1100"/>
        </a:p>
      </xdr:txBody>
    </xdr:sp>
    <xdr:clientData/>
  </xdr:twoCellAnchor>
  <xdr:twoCellAnchor>
    <xdr:from>
      <xdr:col>3</xdr:col>
      <xdr:colOff>609600</xdr:colOff>
      <xdr:row>11</xdr:row>
      <xdr:rowOff>30480</xdr:rowOff>
    </xdr:from>
    <xdr:to>
      <xdr:col>11</xdr:col>
      <xdr:colOff>373380</xdr:colOff>
      <xdr:row>14</xdr:row>
      <xdr:rowOff>91440</xdr:rowOff>
    </xdr:to>
    <xdr:sp macro="" textlink="">
      <xdr:nvSpPr>
        <xdr:cNvPr id="9" name="מלבן: פינות מעוגלות 8">
          <a:extLst>
            <a:ext uri="{FF2B5EF4-FFF2-40B4-BE49-F238E27FC236}">
              <a16:creationId xmlns:a16="http://schemas.microsoft.com/office/drawing/2014/main" id="{D10A6E06-9434-43AE-AD91-C9199EC0B5F2}"/>
            </a:ext>
          </a:extLst>
        </xdr:cNvPr>
        <xdr:cNvSpPr/>
      </xdr:nvSpPr>
      <xdr:spPr>
        <a:xfrm>
          <a:off x="10978995060" y="2156460"/>
          <a:ext cx="4709160" cy="62484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he-IL" sz="1100"/>
        </a:p>
      </xdr:txBody>
    </xdr:sp>
    <xdr:clientData/>
  </xdr:twoCellAnchor>
  <xdr:twoCellAnchor>
    <xdr:from>
      <xdr:col>2</xdr:col>
      <xdr:colOff>179832</xdr:colOff>
      <xdr:row>8</xdr:row>
      <xdr:rowOff>15240</xdr:rowOff>
    </xdr:from>
    <xdr:to>
      <xdr:col>11</xdr:col>
      <xdr:colOff>396240</xdr:colOff>
      <xdr:row>10</xdr:row>
      <xdr:rowOff>118872</xdr:rowOff>
    </xdr:to>
    <xdr:sp macro="" textlink="">
      <xdr:nvSpPr>
        <xdr:cNvPr id="11" name="חץ: ימינה 10">
          <a:extLst>
            <a:ext uri="{FF2B5EF4-FFF2-40B4-BE49-F238E27FC236}">
              <a16:creationId xmlns:a16="http://schemas.microsoft.com/office/drawing/2014/main" id="{D9AF078D-8C4D-48E0-B744-7E53FB2C31B5}"/>
            </a:ext>
          </a:extLst>
        </xdr:cNvPr>
        <xdr:cNvSpPr/>
      </xdr:nvSpPr>
      <xdr:spPr>
        <a:xfrm>
          <a:off x="10978972200" y="1577340"/>
          <a:ext cx="5832348" cy="4846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he-IL" sz="1100"/>
        </a:p>
      </xdr:txBody>
    </xdr:sp>
    <xdr:clientData/>
  </xdr:twoCellAnchor>
  <xdr:twoCellAnchor>
    <xdr:from>
      <xdr:col>11</xdr:col>
      <xdr:colOff>472440</xdr:colOff>
      <xdr:row>7</xdr:row>
      <xdr:rowOff>121920</xdr:rowOff>
    </xdr:from>
    <xdr:to>
      <xdr:col>15</xdr:col>
      <xdr:colOff>586740</xdr:colOff>
      <xdr:row>11</xdr:row>
      <xdr:rowOff>60960</xdr:rowOff>
    </xdr:to>
    <xdr:sp macro="" textlink="">
      <xdr:nvSpPr>
        <xdr:cNvPr id="12" name="מלבן: פינות מעוגלות 11">
          <a:extLst>
            <a:ext uri="{FF2B5EF4-FFF2-40B4-BE49-F238E27FC236}">
              <a16:creationId xmlns:a16="http://schemas.microsoft.com/office/drawing/2014/main" id="{871DE937-9493-4D81-A3B5-369D761FF319}"/>
            </a:ext>
          </a:extLst>
        </xdr:cNvPr>
        <xdr:cNvSpPr/>
      </xdr:nvSpPr>
      <xdr:spPr>
        <a:xfrm>
          <a:off x="10976099460" y="1493520"/>
          <a:ext cx="2796540" cy="69342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he-IL" sz="1100"/>
        </a:p>
      </xdr:txBody>
    </xdr:sp>
    <xdr:clientData/>
  </xdr:twoCellAnchor>
  <xdr:twoCellAnchor>
    <xdr:from>
      <xdr:col>3</xdr:col>
      <xdr:colOff>640081</xdr:colOff>
      <xdr:row>15</xdr:row>
      <xdr:rowOff>175260</xdr:rowOff>
    </xdr:from>
    <xdr:to>
      <xdr:col>9</xdr:col>
      <xdr:colOff>53340</xdr:colOff>
      <xdr:row>19</xdr:row>
      <xdr:rowOff>114299</xdr:rowOff>
    </xdr:to>
    <xdr:sp macro="" textlink="">
      <xdr:nvSpPr>
        <xdr:cNvPr id="13" name="מלבן: פינות מעוגלות 12">
          <a:extLst>
            <a:ext uri="{FF2B5EF4-FFF2-40B4-BE49-F238E27FC236}">
              <a16:creationId xmlns:a16="http://schemas.microsoft.com/office/drawing/2014/main" id="{65BD9F9B-84EA-4C66-B760-DDAD603DFBDF}"/>
            </a:ext>
          </a:extLst>
        </xdr:cNvPr>
        <xdr:cNvSpPr/>
      </xdr:nvSpPr>
      <xdr:spPr>
        <a:xfrm>
          <a:off x="10980656220" y="3048000"/>
          <a:ext cx="3017519" cy="693419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he-IL" sz="1100"/>
        </a:p>
      </xdr:txBody>
    </xdr:sp>
    <xdr:clientData/>
  </xdr:twoCellAnchor>
  <xdr:twoCellAnchor>
    <xdr:from>
      <xdr:col>2</xdr:col>
      <xdr:colOff>152400</xdr:colOff>
      <xdr:row>20</xdr:row>
      <xdr:rowOff>0</xdr:rowOff>
    </xdr:from>
    <xdr:to>
      <xdr:col>11</xdr:col>
      <xdr:colOff>368808</xdr:colOff>
      <xdr:row>22</xdr:row>
      <xdr:rowOff>103632</xdr:rowOff>
    </xdr:to>
    <xdr:sp macro="" textlink="">
      <xdr:nvSpPr>
        <xdr:cNvPr id="15" name="חץ: ימינה 14">
          <a:extLst>
            <a:ext uri="{FF2B5EF4-FFF2-40B4-BE49-F238E27FC236}">
              <a16:creationId xmlns:a16="http://schemas.microsoft.com/office/drawing/2014/main" id="{254FB4BB-FDD8-413E-9E88-34FCCD0741A8}"/>
            </a:ext>
          </a:extLst>
        </xdr:cNvPr>
        <xdr:cNvSpPr/>
      </xdr:nvSpPr>
      <xdr:spPr>
        <a:xfrm>
          <a:off x="10978999632" y="3817620"/>
          <a:ext cx="5832348" cy="4846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he-IL" sz="1100"/>
        </a:p>
      </xdr:txBody>
    </xdr:sp>
    <xdr:clientData/>
  </xdr:twoCellAnchor>
  <xdr:twoCellAnchor>
    <xdr:from>
      <xdr:col>11</xdr:col>
      <xdr:colOff>502920</xdr:colOff>
      <xdr:row>19</xdr:row>
      <xdr:rowOff>152400</xdr:rowOff>
    </xdr:from>
    <xdr:to>
      <xdr:col>16</xdr:col>
      <xdr:colOff>213360</xdr:colOff>
      <xdr:row>23</xdr:row>
      <xdr:rowOff>22860</xdr:rowOff>
    </xdr:to>
    <xdr:sp macro="" textlink="">
      <xdr:nvSpPr>
        <xdr:cNvPr id="16" name="מלבן: פינות מעוגלות 15">
          <a:extLst>
            <a:ext uri="{FF2B5EF4-FFF2-40B4-BE49-F238E27FC236}">
              <a16:creationId xmlns:a16="http://schemas.microsoft.com/office/drawing/2014/main" id="{689A1457-A09E-4191-BB8A-26C022586503}"/>
            </a:ext>
          </a:extLst>
        </xdr:cNvPr>
        <xdr:cNvSpPr/>
      </xdr:nvSpPr>
      <xdr:spPr>
        <a:xfrm>
          <a:off x="10975802280" y="3779520"/>
          <a:ext cx="3063240" cy="63246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he-IL" sz="1100"/>
        </a:p>
      </xdr:txBody>
    </xdr:sp>
    <xdr:clientData/>
  </xdr:twoCellAnchor>
  <xdr:twoCellAnchor>
    <xdr:from>
      <xdr:col>2</xdr:col>
      <xdr:colOff>168442</xdr:colOff>
      <xdr:row>26</xdr:row>
      <xdr:rowOff>176463</xdr:rowOff>
    </xdr:from>
    <xdr:to>
      <xdr:col>3</xdr:col>
      <xdr:colOff>476290</xdr:colOff>
      <xdr:row>29</xdr:row>
      <xdr:rowOff>89595</xdr:rowOff>
    </xdr:to>
    <xdr:sp macro="" textlink="">
      <xdr:nvSpPr>
        <xdr:cNvPr id="14" name="חץ: ימינה 13">
          <a:extLst>
            <a:ext uri="{FF2B5EF4-FFF2-40B4-BE49-F238E27FC236}">
              <a16:creationId xmlns:a16="http://schemas.microsoft.com/office/drawing/2014/main" id="{2138EFD7-3B9D-4623-B383-493BC2201A5B}"/>
            </a:ext>
          </a:extLst>
        </xdr:cNvPr>
        <xdr:cNvSpPr/>
      </xdr:nvSpPr>
      <xdr:spPr>
        <a:xfrm>
          <a:off x="11036379836" y="5165558"/>
          <a:ext cx="981617" cy="49064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he-IL" sz="1100"/>
        </a:p>
      </xdr:txBody>
    </xdr:sp>
    <xdr:clientData/>
  </xdr:twoCellAnchor>
  <xdr:twoCellAnchor>
    <xdr:from>
      <xdr:col>3</xdr:col>
      <xdr:colOff>585537</xdr:colOff>
      <xdr:row>26</xdr:row>
      <xdr:rowOff>80210</xdr:rowOff>
    </xdr:from>
    <xdr:to>
      <xdr:col>9</xdr:col>
      <xdr:colOff>344905</xdr:colOff>
      <xdr:row>30</xdr:row>
      <xdr:rowOff>64168</xdr:rowOff>
    </xdr:to>
    <xdr:sp macro="" textlink="">
      <xdr:nvSpPr>
        <xdr:cNvPr id="7" name="מלבן: פינות מעוגלות 6">
          <a:extLst>
            <a:ext uri="{FF2B5EF4-FFF2-40B4-BE49-F238E27FC236}">
              <a16:creationId xmlns:a16="http://schemas.microsoft.com/office/drawing/2014/main" id="{2FD610B5-04FA-47A6-A5B6-6B5672438442}"/>
            </a:ext>
          </a:extLst>
        </xdr:cNvPr>
        <xdr:cNvSpPr/>
      </xdr:nvSpPr>
      <xdr:spPr>
        <a:xfrm>
          <a:off x="11032893727" y="5069305"/>
          <a:ext cx="3376862" cy="753979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he-I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5</xdr:row>
      <xdr:rowOff>129540</xdr:rowOff>
    </xdr:from>
    <xdr:to>
      <xdr:col>4</xdr:col>
      <xdr:colOff>650748</xdr:colOff>
      <xdr:row>8</xdr:row>
      <xdr:rowOff>88392</xdr:rowOff>
    </xdr:to>
    <xdr:sp macro="" textlink="">
      <xdr:nvSpPr>
        <xdr:cNvPr id="2" name="חץ: ימינה 1">
          <a:extLst>
            <a:ext uri="{FF2B5EF4-FFF2-40B4-BE49-F238E27FC236}">
              <a16:creationId xmlns:a16="http://schemas.microsoft.com/office/drawing/2014/main" id="{180B7C73-C90D-4D35-9FA1-B176E19A3085}"/>
            </a:ext>
          </a:extLst>
        </xdr:cNvPr>
        <xdr:cNvSpPr/>
      </xdr:nvSpPr>
      <xdr:spPr>
        <a:xfrm>
          <a:off x="10983122052" y="1005840"/>
          <a:ext cx="978408" cy="4846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he-IL" sz="1100"/>
        </a:p>
      </xdr:txBody>
    </xdr:sp>
    <xdr:clientData/>
  </xdr:twoCellAnchor>
  <xdr:twoCellAnchor>
    <xdr:from>
      <xdr:col>5</xdr:col>
      <xdr:colOff>228600</xdr:colOff>
      <xdr:row>4</xdr:row>
      <xdr:rowOff>137160</xdr:rowOff>
    </xdr:from>
    <xdr:to>
      <xdr:col>12</xdr:col>
      <xdr:colOff>617220</xdr:colOff>
      <xdr:row>9</xdr:row>
      <xdr:rowOff>144780</xdr:rowOff>
    </xdr:to>
    <xdr:sp macro="" textlink="">
      <xdr:nvSpPr>
        <xdr:cNvPr id="3" name="מלבן: פינות מעוגלות 2">
          <a:extLst>
            <a:ext uri="{FF2B5EF4-FFF2-40B4-BE49-F238E27FC236}">
              <a16:creationId xmlns:a16="http://schemas.microsoft.com/office/drawing/2014/main" id="{1A569678-D460-45D5-83AA-88F0913C2FE5}"/>
            </a:ext>
          </a:extLst>
        </xdr:cNvPr>
        <xdr:cNvSpPr/>
      </xdr:nvSpPr>
      <xdr:spPr>
        <a:xfrm>
          <a:off x="10977791100" y="838200"/>
          <a:ext cx="5082540" cy="91440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he-IL" sz="1100"/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31C36-FE3F-4DF4-8B22-F7AE487E20F0}">
  <dimension ref="A2:Z40"/>
  <sheetViews>
    <sheetView rightToLeft="1" tabSelected="1" zoomScale="95" zoomScaleNormal="95" workbookViewId="0">
      <selection activeCell="B6" sqref="B6"/>
    </sheetView>
  </sheetViews>
  <sheetFormatPr defaultColWidth="8.75" defaultRowHeight="14.25" x14ac:dyDescent="0.2"/>
  <cols>
    <col min="1" max="1" width="27.5" style="5" bestFit="1" customWidth="1"/>
    <col min="2" max="2" width="10.875" style="5" bestFit="1" customWidth="1"/>
    <col min="3" max="3" width="8.75" style="5"/>
    <col min="4" max="4" width="8.625" style="5" customWidth="1"/>
    <col min="5" max="6" width="8.75" style="5"/>
    <col min="7" max="7" width="3.5" style="5" customWidth="1"/>
    <col min="8" max="15" width="8.75" style="5"/>
    <col min="16" max="16" width="8.75" style="5" customWidth="1"/>
    <col min="17" max="17" width="10.375" style="5" customWidth="1"/>
    <col min="18" max="18" width="9.875" style="5" bestFit="1" customWidth="1"/>
    <col min="19" max="23" width="8.75" style="5" customWidth="1"/>
    <col min="24" max="25" width="8.75" style="5"/>
    <col min="26" max="26" width="9.875" style="5" bestFit="1" customWidth="1"/>
    <col min="27" max="16384" width="8.75" style="5"/>
  </cols>
  <sheetData>
    <row r="2" spans="1:26" ht="20.25" x14ac:dyDescent="0.3">
      <c r="A2" s="32" t="s">
        <v>52</v>
      </c>
      <c r="B2" s="33">
        <v>2020</v>
      </c>
      <c r="D2" s="33"/>
      <c r="E2" s="33"/>
      <c r="F2" s="34"/>
    </row>
    <row r="4" spans="1:26" ht="15" thickBot="1" x14ac:dyDescent="0.25"/>
    <row r="5" spans="1:26" ht="16.5" thickTop="1" thickBot="1" x14ac:dyDescent="0.3">
      <c r="A5" s="11" t="s">
        <v>1</v>
      </c>
      <c r="B5" s="35">
        <f ca="1">TODAY()</f>
        <v>44199</v>
      </c>
      <c r="E5" s="36"/>
      <c r="F5" s="34"/>
      <c r="G5" s="34"/>
      <c r="H5" s="34"/>
      <c r="Q5" s="37"/>
    </row>
    <row r="6" spans="1:26" ht="16.5" thickTop="1" thickBot="1" x14ac:dyDescent="0.3">
      <c r="A6" s="11" t="s">
        <v>0</v>
      </c>
      <c r="B6" s="9">
        <v>27745</v>
      </c>
      <c r="E6" s="38" t="s">
        <v>19</v>
      </c>
      <c r="F6" s="38"/>
      <c r="G6" s="38"/>
      <c r="H6" s="38"/>
      <c r="I6" s="38"/>
      <c r="J6" s="38"/>
      <c r="R6" s="37"/>
    </row>
    <row r="7" spans="1:26" ht="16.5" thickTop="1" thickBot="1" x14ac:dyDescent="0.3">
      <c r="A7" s="11" t="s">
        <v>4</v>
      </c>
      <c r="B7" s="10">
        <f ca="1">+'נתוני חישוב'!D8</f>
        <v>45.044444444444444</v>
      </c>
      <c r="E7" s="38" t="s">
        <v>20</v>
      </c>
      <c r="F7" s="38"/>
      <c r="G7" s="38"/>
      <c r="H7" s="38"/>
      <c r="I7" s="38"/>
      <c r="J7" s="38"/>
      <c r="Q7" s="39"/>
    </row>
    <row r="8" spans="1:26" ht="15.75" thickTop="1" thickBot="1" x14ac:dyDescent="0.25">
      <c r="A8" s="11" t="s">
        <v>5</v>
      </c>
      <c r="B8" s="11" t="str">
        <f ca="1">+'נתוני חישוב'!D10</f>
        <v>כן</v>
      </c>
    </row>
    <row r="9" spans="1:26" ht="16.5" thickTop="1" thickBot="1" x14ac:dyDescent="0.3">
      <c r="A9" s="11" t="s">
        <v>2</v>
      </c>
      <c r="B9" s="12">
        <v>20000</v>
      </c>
      <c r="M9" s="38" t="s">
        <v>24</v>
      </c>
      <c r="N9" s="38"/>
      <c r="O9" s="38"/>
      <c r="P9" s="38"/>
      <c r="Z9" s="49"/>
    </row>
    <row r="10" spans="1:26" ht="16.5" thickTop="1" thickBot="1" x14ac:dyDescent="0.3">
      <c r="A10" s="11" t="s">
        <v>3</v>
      </c>
      <c r="B10" s="8">
        <f>+B9*12</f>
        <v>240000</v>
      </c>
      <c r="M10" s="38" t="s">
        <v>23</v>
      </c>
      <c r="N10" s="38"/>
      <c r="O10" s="38"/>
      <c r="P10" s="38"/>
      <c r="Y10" s="7"/>
      <c r="Z10" s="49"/>
    </row>
    <row r="11" spans="1:26" ht="15.75" thickTop="1" x14ac:dyDescent="0.25">
      <c r="A11" s="40"/>
      <c r="B11" s="40"/>
      <c r="M11" s="38" t="s">
        <v>53</v>
      </c>
      <c r="Q11" s="41"/>
      <c r="Z11" s="49"/>
    </row>
    <row r="12" spans="1:26" ht="15.75" thickBot="1" x14ac:dyDescent="0.3">
      <c r="A12" s="42" t="s">
        <v>8</v>
      </c>
      <c r="B12" s="43"/>
    </row>
    <row r="13" spans="1:26" ht="15.75" thickTop="1" thickBot="1" x14ac:dyDescent="0.25">
      <c r="A13" s="44" t="s">
        <v>6</v>
      </c>
      <c r="B13" s="2">
        <f>IF(B9&lt;5275.5,B10*4.45%,IF(B9&lt;10551,(B9-5137)*12.55%*12+(234.75*12),896.82*12))</f>
        <v>10761.84</v>
      </c>
      <c r="Y13" s="41"/>
      <c r="Z13" s="49"/>
    </row>
    <row r="14" spans="1:26" ht="15.75" thickTop="1" thickBot="1" x14ac:dyDescent="0.25">
      <c r="A14" s="44" t="s">
        <v>7</v>
      </c>
      <c r="B14" s="2">
        <f>+B13/12</f>
        <v>896.82</v>
      </c>
      <c r="S14" s="7"/>
      <c r="Y14" s="41"/>
      <c r="Z14" s="49"/>
    </row>
    <row r="15" spans="1:26" ht="15" thickTop="1" x14ac:dyDescent="0.2">
      <c r="S15" s="7"/>
      <c r="Z15" s="50"/>
    </row>
    <row r="16" spans="1:26" ht="15.75" thickBot="1" x14ac:dyDescent="0.3">
      <c r="A16" s="45" t="s">
        <v>9</v>
      </c>
      <c r="S16" s="7"/>
      <c r="W16" s="6"/>
    </row>
    <row r="17" spans="1:19" ht="15.75" thickTop="1" thickBot="1" x14ac:dyDescent="0.25">
      <c r="A17" s="44" t="s">
        <v>6</v>
      </c>
      <c r="B17" s="2">
        <f>+'נתוני חישוב'!D18</f>
        <v>34848</v>
      </c>
      <c r="S17" s="7"/>
    </row>
    <row r="18" spans="1:19" ht="15.75" thickTop="1" thickBot="1" x14ac:dyDescent="0.25">
      <c r="A18" s="44" t="s">
        <v>7</v>
      </c>
      <c r="B18" s="2">
        <f>+B17/12</f>
        <v>2904</v>
      </c>
      <c r="S18" s="7"/>
    </row>
    <row r="19" spans="1:19" ht="15.75" thickTop="1" thickBot="1" x14ac:dyDescent="0.25">
      <c r="A19" s="44" t="s">
        <v>10</v>
      </c>
      <c r="B19" s="2">
        <f>+'נתוני חישוב'!K16</f>
        <v>938.95999999999981</v>
      </c>
      <c r="S19" s="7"/>
    </row>
    <row r="20" spans="1:19" ht="15.75" thickTop="1" thickBot="1" x14ac:dyDescent="0.25">
      <c r="A20" s="44" t="s">
        <v>11</v>
      </c>
      <c r="B20" s="2">
        <f>+B19*12</f>
        <v>11267.519999999997</v>
      </c>
    </row>
    <row r="21" spans="1:19" ht="16.5" thickTop="1" thickBot="1" x14ac:dyDescent="0.3">
      <c r="A21" s="44" t="s">
        <v>43</v>
      </c>
      <c r="B21" s="2">
        <f>+'נתוני חישוב'!R14</f>
        <v>345.1887999999999</v>
      </c>
      <c r="M21" s="38" t="s">
        <v>45</v>
      </c>
      <c r="N21" s="38"/>
      <c r="O21" s="38"/>
      <c r="P21" s="38"/>
    </row>
    <row r="22" spans="1:19" ht="16.5" thickTop="1" thickBot="1" x14ac:dyDescent="0.3">
      <c r="A22" s="44" t="s">
        <v>44</v>
      </c>
      <c r="B22" s="2">
        <f>+B21*12</f>
        <v>4142.2655999999988</v>
      </c>
      <c r="M22" s="38" t="s">
        <v>64</v>
      </c>
      <c r="N22" s="38"/>
      <c r="O22" s="38"/>
      <c r="P22" s="38"/>
    </row>
    <row r="23" spans="1:19" ht="16.5" thickTop="1" thickBot="1" x14ac:dyDescent="0.3">
      <c r="A23" s="44" t="s">
        <v>12</v>
      </c>
      <c r="B23" s="13">
        <f>+(B20+B22)/B17</f>
        <v>0.44219999999999987</v>
      </c>
      <c r="M23" s="38" t="s">
        <v>46</v>
      </c>
      <c r="N23" s="38"/>
      <c r="O23" s="38"/>
      <c r="P23" s="38"/>
    </row>
    <row r="24" spans="1:19" ht="15" thickTop="1" x14ac:dyDescent="0.2">
      <c r="Q24" s="6"/>
    </row>
    <row r="25" spans="1:19" ht="15.75" thickBot="1" x14ac:dyDescent="0.3">
      <c r="A25" s="45" t="s">
        <v>13</v>
      </c>
    </row>
    <row r="26" spans="1:19" ht="15.75" thickTop="1" thickBot="1" x14ac:dyDescent="0.25">
      <c r="A26" s="44" t="s">
        <v>14</v>
      </c>
      <c r="B26" s="3">
        <v>1500</v>
      </c>
      <c r="R26" s="7"/>
    </row>
    <row r="27" spans="1:19" ht="16.5" thickTop="1" thickBot="1" x14ac:dyDescent="0.25">
      <c r="A27" s="44" t="s">
        <v>6</v>
      </c>
      <c r="B27" s="2">
        <f>+B26*12</f>
        <v>18000</v>
      </c>
      <c r="F27" s="46"/>
      <c r="R27" s="7"/>
    </row>
    <row r="28" spans="1:19" ht="16.5" thickTop="1" thickBot="1" x14ac:dyDescent="0.3">
      <c r="A28" s="44" t="s">
        <v>10</v>
      </c>
      <c r="B28" s="2">
        <f>+'נתוני חישוב'!N24</f>
        <v>475.71999999999997</v>
      </c>
      <c r="E28" s="38" t="s">
        <v>49</v>
      </c>
      <c r="F28" s="47"/>
    </row>
    <row r="29" spans="1:19" ht="16.5" thickTop="1" thickBot="1" x14ac:dyDescent="0.3">
      <c r="A29" s="44" t="s">
        <v>11</v>
      </c>
      <c r="B29" s="2">
        <f>+B28*12</f>
        <v>5708.6399999999994</v>
      </c>
      <c r="E29" s="38" t="s">
        <v>50</v>
      </c>
      <c r="F29" s="47"/>
    </row>
    <row r="30" spans="1:19" ht="16.5" thickTop="1" thickBot="1" x14ac:dyDescent="0.3">
      <c r="A30" s="44" t="s">
        <v>43</v>
      </c>
      <c r="B30" s="2">
        <f>+'נתוני חישוב'!R22</f>
        <v>219.66559999999981</v>
      </c>
      <c r="E30" s="45" t="s">
        <v>51</v>
      </c>
      <c r="F30" s="47"/>
    </row>
    <row r="31" spans="1:19" ht="16.5" thickTop="1" thickBot="1" x14ac:dyDescent="0.25">
      <c r="A31" s="44" t="s">
        <v>44</v>
      </c>
      <c r="B31" s="2">
        <f>+B30*12</f>
        <v>2635.9871999999978</v>
      </c>
      <c r="F31" s="47"/>
    </row>
    <row r="32" spans="1:19" ht="16.5" thickTop="1" thickBot="1" x14ac:dyDescent="0.3">
      <c r="A32" s="44" t="s">
        <v>12</v>
      </c>
      <c r="B32" s="13">
        <f>+(B28+B30)/B26</f>
        <v>0.4635903999999999</v>
      </c>
      <c r="F32" s="47"/>
    </row>
    <row r="33" spans="17:17" ht="15" thickTop="1" x14ac:dyDescent="0.2"/>
    <row r="35" spans="17:17" x14ac:dyDescent="0.2">
      <c r="Q35" s="48"/>
    </row>
    <row r="36" spans="17:17" x14ac:dyDescent="0.2">
      <c r="Q36" s="48"/>
    </row>
    <row r="37" spans="17:17" x14ac:dyDescent="0.2">
      <c r="Q37" s="48"/>
    </row>
    <row r="40" spans="17:17" x14ac:dyDescent="0.2">
      <c r="Q40" s="5">
        <f>IF(B26&lt;S35,B26*R27,IF(B26&lt;S36,(B26-S35)*R26+T35,IF(B26&lt;S37,(B26-S36)*R27+T36,T37)))</f>
        <v>0</v>
      </c>
    </row>
  </sheetData>
  <sheetProtection algorithmName="SHA-512" hashValue="TRbY0/v3AemoMoYA2M7XmWhwA5lO26IQoLC1Y+frYbg6nDE38YJbhxdMla6SeY/7pHWPSdCqsEEKA0nkiWXrvA==" saltValue="xlokeZZRcC8reFTO6mYk2w==" spinCount="100000" sheet="1" selectLockedCells="1"/>
  <protectedRanges>
    <protectedRange sqref="B10:B14" name="טווח2"/>
    <protectedRange algorithmName="SHA-512" hashValue="JhieeMiiOChSxbEnEmfaAPWgmQUjftXQQoE/40dUM0WODi8zKaABhJWRYSPFk652BqOaHOIO7VKaiDGJ2aTCVg==" saltValue="sWNbDDTKMULwCTJEbedFiQ==" spinCount="100000" sqref="B7:B8" name="טווח1"/>
  </protectedRange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58994-7095-47B3-BDCF-9540E06E48C0}">
  <dimension ref="A2:M10"/>
  <sheetViews>
    <sheetView rightToLeft="1" workbookViewId="0">
      <selection activeCell="C7" sqref="C7"/>
    </sheetView>
  </sheetViews>
  <sheetFormatPr defaultColWidth="8.75" defaultRowHeight="14.25" x14ac:dyDescent="0.2"/>
  <cols>
    <col min="1" max="2" width="8.75" style="14"/>
    <col min="3" max="3" width="20.75" style="14" customWidth="1"/>
    <col min="4" max="16384" width="8.75" style="14"/>
  </cols>
  <sheetData>
    <row r="2" spans="1:13" ht="23.25" x14ac:dyDescent="0.35">
      <c r="A2" s="30" t="s">
        <v>63</v>
      </c>
      <c r="B2" s="31"/>
      <c r="C2" s="31"/>
      <c r="D2" s="30">
        <v>2020</v>
      </c>
    </row>
    <row r="4" spans="1:13" x14ac:dyDescent="0.2">
      <c r="A4" s="14" t="s">
        <v>15</v>
      </c>
      <c r="C4" s="15">
        <v>265000</v>
      </c>
    </row>
    <row r="5" spans="1:13" x14ac:dyDescent="0.2">
      <c r="C5" s="15"/>
    </row>
    <row r="6" spans="1:13" ht="15.75" thickBot="1" x14ac:dyDescent="0.3">
      <c r="G6" s="16" t="s">
        <v>59</v>
      </c>
      <c r="H6" s="16"/>
      <c r="I6" s="16"/>
      <c r="J6" s="16"/>
      <c r="K6" s="16"/>
      <c r="L6" s="29">
        <f>+C9</f>
        <v>18550</v>
      </c>
      <c r="M6" s="16"/>
    </row>
    <row r="7" spans="1:13" ht="16.5" thickTop="1" thickBot="1" x14ac:dyDescent="0.3">
      <c r="A7" s="14" t="s">
        <v>16</v>
      </c>
      <c r="C7" s="17">
        <v>200000</v>
      </c>
      <c r="G7" s="28" t="s">
        <v>60</v>
      </c>
    </row>
    <row r="8" spans="1:13" ht="15.75" thickTop="1" x14ac:dyDescent="0.25">
      <c r="A8" s="14" t="s">
        <v>55</v>
      </c>
      <c r="C8" s="15">
        <f>IF(C7&gt;C4,C4*4.5%,C7*4.5%)</f>
        <v>9000</v>
      </c>
      <c r="G8" s="16" t="s">
        <v>61</v>
      </c>
      <c r="K8" s="29">
        <f>+C8</f>
        <v>9000</v>
      </c>
    </row>
    <row r="9" spans="1:13" ht="15" x14ac:dyDescent="0.25">
      <c r="A9" s="14" t="s">
        <v>17</v>
      </c>
      <c r="C9" s="15">
        <f>+C4*7%</f>
        <v>18550</v>
      </c>
      <c r="G9" s="16" t="s">
        <v>62</v>
      </c>
      <c r="J9" s="29">
        <f>+C10</f>
        <v>2790</v>
      </c>
    </row>
    <row r="10" spans="1:13" x14ac:dyDescent="0.2">
      <c r="A10" s="14" t="s">
        <v>18</v>
      </c>
      <c r="C10" s="15">
        <f>+'נתוני חישוב'!W9*12</f>
        <v>2790</v>
      </c>
    </row>
  </sheetData>
  <sheetProtection algorithmName="SHA-512" hashValue="PcQF410RNK8G5Y+cVnqaLrDmzA+0VYYaXDzimpPw/ZpjP2flrTGhlWM9on9V7d0kDF2CnDou2uKi+qIZDYkZpA==" saltValue="TlHGGHLh2RhERma4ZbGbhg==" spinCount="100000" sheet="1" objects="1" scenarios="1" selectLockedCells="1"/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E4D43-1D2D-44B7-ABD8-095F06988CA0}">
  <dimension ref="B2:X26"/>
  <sheetViews>
    <sheetView rightToLeft="1" topLeftCell="Y1" workbookViewId="0">
      <selection sqref="A1:X1048576"/>
    </sheetView>
  </sheetViews>
  <sheetFormatPr defaultRowHeight="14.25" x14ac:dyDescent="0.2"/>
  <cols>
    <col min="1" max="1" width="0" hidden="1" customWidth="1"/>
    <col min="2" max="3" width="8.75" hidden="1" customWidth="1"/>
    <col min="4" max="4" width="10.875" hidden="1" customWidth="1"/>
    <col min="5" max="7" width="8.75" hidden="1" customWidth="1"/>
    <col min="8" max="8" width="9.875" hidden="1" customWidth="1"/>
    <col min="9" max="11" width="8.75" hidden="1" customWidth="1"/>
    <col min="12" max="12" width="9.875" hidden="1" customWidth="1"/>
    <col min="13" max="24" width="8.75" hidden="1" customWidth="1"/>
  </cols>
  <sheetData>
    <row r="2" spans="2:23" x14ac:dyDescent="0.2">
      <c r="J2" t="s">
        <v>28</v>
      </c>
      <c r="P2" t="s">
        <v>37</v>
      </c>
      <c r="U2" t="s">
        <v>54</v>
      </c>
    </row>
    <row r="3" spans="2:23" x14ac:dyDescent="0.2">
      <c r="B3" t="s">
        <v>21</v>
      </c>
      <c r="D3" s="23">
        <f>+פנסיה!B9</f>
        <v>20000</v>
      </c>
      <c r="J3" s="1">
        <v>6330</v>
      </c>
      <c r="K3" s="1">
        <v>0</v>
      </c>
      <c r="L3" s="4">
        <v>0.1</v>
      </c>
      <c r="M3" s="5">
        <f>+J3*L3</f>
        <v>633</v>
      </c>
      <c r="N3">
        <f>+M3</f>
        <v>633</v>
      </c>
      <c r="P3" t="s">
        <v>38</v>
      </c>
      <c r="Q3">
        <v>6331</v>
      </c>
      <c r="R3" s="24">
        <v>5.9700000000000003E-2</v>
      </c>
    </row>
    <row r="4" spans="2:23" x14ac:dyDescent="0.2">
      <c r="D4" s="18">
        <f>+D3*12</f>
        <v>240000</v>
      </c>
      <c r="J4" s="1">
        <v>9080</v>
      </c>
      <c r="K4" s="1">
        <v>2739</v>
      </c>
      <c r="L4" s="4">
        <v>0.14000000000000001</v>
      </c>
      <c r="M4" s="5">
        <f>+K4*L4</f>
        <v>383.46000000000004</v>
      </c>
      <c r="N4">
        <f>+N3+M4</f>
        <v>1016.46</v>
      </c>
      <c r="P4" t="s">
        <v>39</v>
      </c>
      <c r="Q4">
        <v>44020</v>
      </c>
      <c r="R4" s="24">
        <v>0.17829999999999999</v>
      </c>
      <c r="U4" t="s">
        <v>3</v>
      </c>
      <c r="W4">
        <f>+'קרן השתלמות'!C7</f>
        <v>200000</v>
      </c>
    </row>
    <row r="5" spans="2:23" x14ac:dyDescent="0.2">
      <c r="B5" t="s">
        <v>22</v>
      </c>
      <c r="D5" s="19">
        <v>42736</v>
      </c>
      <c r="E5" s="20">
        <f ca="1">YEARFRAC(D5,D7)</f>
        <v>4.0055555555555555</v>
      </c>
      <c r="F5" s="21">
        <f ca="1">55+E5-1</f>
        <v>58.005555555555553</v>
      </c>
      <c r="J5" s="1">
        <v>14580</v>
      </c>
      <c r="K5" s="1">
        <v>5479</v>
      </c>
      <c r="L5" s="4">
        <v>0.2</v>
      </c>
      <c r="M5" s="5">
        <f t="shared" ref="M5:M7" si="0">+K5*L5</f>
        <v>1095.8</v>
      </c>
      <c r="N5">
        <f t="shared" ref="N5:N7" si="1">+N4+M5</f>
        <v>2112.2600000000002</v>
      </c>
      <c r="U5" t="s">
        <v>2</v>
      </c>
      <c r="W5">
        <f>+W4/12</f>
        <v>16666.666666666668</v>
      </c>
    </row>
    <row r="6" spans="2:23" x14ac:dyDescent="0.2">
      <c r="B6" t="s">
        <v>0</v>
      </c>
      <c r="D6" s="19">
        <f>+פנסיה!B6</f>
        <v>27745</v>
      </c>
      <c r="J6" s="1">
        <v>20260</v>
      </c>
      <c r="K6" s="1">
        <v>5669</v>
      </c>
      <c r="L6" s="4">
        <v>0.31</v>
      </c>
      <c r="M6" s="5">
        <f t="shared" si="0"/>
        <v>1757.39</v>
      </c>
      <c r="N6">
        <f t="shared" si="1"/>
        <v>3869.6500000000005</v>
      </c>
    </row>
    <row r="7" spans="2:23" x14ac:dyDescent="0.2">
      <c r="B7" t="s">
        <v>1</v>
      </c>
      <c r="D7" s="19">
        <f ca="1">+פנסיה!B5</f>
        <v>44199</v>
      </c>
      <c r="J7" s="1">
        <v>42160</v>
      </c>
      <c r="K7" s="1">
        <v>21829</v>
      </c>
      <c r="L7" s="4">
        <v>0.35</v>
      </c>
      <c r="M7" s="5">
        <f t="shared" si="0"/>
        <v>7640.15</v>
      </c>
      <c r="N7">
        <f t="shared" si="1"/>
        <v>11509.8</v>
      </c>
      <c r="U7" t="s">
        <v>56</v>
      </c>
      <c r="W7">
        <f>IF(W5&lt;J3,W5*L3,IF(W5&lt;J4,(W5-J3)*L4+N3,IF(W5&lt;J5,(W5-J4)*L5+N4,IF(W5&lt;J6,(W5-J5)*L6+N5,IF(W5&lt;J7,(W5-J6)*L7+N6,(W5-J7)*L8+N7)))))</f>
        <v>2759.126666666667</v>
      </c>
    </row>
    <row r="8" spans="2:23" x14ac:dyDescent="0.2">
      <c r="D8" s="20">
        <f ca="1">YEARFRAC(D6,D7)</f>
        <v>45.044444444444444</v>
      </c>
      <c r="J8" s="1">
        <v>42161</v>
      </c>
      <c r="K8" s="1"/>
      <c r="L8" s="4">
        <v>0.47</v>
      </c>
      <c r="M8" s="1"/>
      <c r="U8" t="s">
        <v>57</v>
      </c>
      <c r="W8">
        <f>IF(W11&lt;J3,W11*L3,IF(W11&lt;J4,(W11-J3)*L4+N3,IF(W11&lt;J5,(W11-J4)*L5+N4,IF(W11&lt;J6,(W11-J5)*L6+N5,IF(W11&lt;J7,(W11-J6)*L7+N6,")+V11-I7(*K8+M7")))))</f>
        <v>2526.626666666667</v>
      </c>
    </row>
    <row r="9" spans="2:23" x14ac:dyDescent="0.2">
      <c r="J9" s="1"/>
      <c r="K9" s="1"/>
      <c r="L9" s="1"/>
      <c r="M9" s="1"/>
      <c r="U9" t="s">
        <v>58</v>
      </c>
      <c r="W9">
        <f>+W7-W8</f>
        <v>232.5</v>
      </c>
    </row>
    <row r="10" spans="2:23" x14ac:dyDescent="0.2">
      <c r="B10" t="s">
        <v>5</v>
      </c>
      <c r="D10" s="22" t="str">
        <f ca="1">IF(D8&lt;21,"לא",IF(D8&lt;F5,"כן","לא"))</f>
        <v>כן</v>
      </c>
    </row>
    <row r="11" spans="2:23" x14ac:dyDescent="0.2">
      <c r="U11" t="s">
        <v>48</v>
      </c>
      <c r="W11">
        <f>+W5-'קרן השתלמות'!C8/12</f>
        <v>15916.666666666668</v>
      </c>
    </row>
    <row r="12" spans="2:23" x14ac:dyDescent="0.2">
      <c r="J12" t="s">
        <v>29</v>
      </c>
      <c r="K12">
        <f>IF(D3&lt;J3,D3*L3,IF(D3&lt;J4,(D3-J3)*L4+N3,IF(D3&lt;J5,(D3-J4)*L5+N4,IF(D3&lt;J6,(D3-J5)*L6+N5,IF(D3&lt;J7,(D3-J6)*L7+N6,(D3-J7)*L8+N7)))))</f>
        <v>3792.46</v>
      </c>
      <c r="P12" t="s">
        <v>40</v>
      </c>
      <c r="R12">
        <f>IF(D3&lt;Q3,D3*R3,IF(D3&lt;Q4,(D3-Q3)*R4+(Q3*R3),(Q4-Q3)*R4+(Q3*R3)))</f>
        <v>2815.1433999999999</v>
      </c>
    </row>
    <row r="13" spans="2:23" x14ac:dyDescent="0.2">
      <c r="J13" t="s">
        <v>32</v>
      </c>
      <c r="K13">
        <f>IF(H19&lt;J3,H19*L3,IF(H19&lt;J4,(H19-J3)*L4+N3,IF(H19&lt;J5,(H19-J4)*L5+N4,IF(H19&lt;J6,(H19-J5)*L6+N5,IF(H19&lt;J7,(H19-J6)*L7+N6,IF(H19&lt;J8,"(G19-I7*K7+M6",(H19-J8)*L8+N7))))))</f>
        <v>3192.3</v>
      </c>
      <c r="P13" t="s">
        <v>41</v>
      </c>
      <c r="R13">
        <f>IF(H19&lt;Q3,H19*R3,IF(H19&lt;Q4,(H19-Q3)*R4+(Q3*R3),(Q4-Q3)*R4+(Q3*R3)))</f>
        <v>2469.9546</v>
      </c>
    </row>
    <row r="14" spans="2:23" x14ac:dyDescent="0.2">
      <c r="B14" t="s">
        <v>25</v>
      </c>
      <c r="J14" t="s">
        <v>34</v>
      </c>
      <c r="K14">
        <f>+K12-K13</f>
        <v>600.15999999999985</v>
      </c>
      <c r="P14" t="s">
        <v>42</v>
      </c>
      <c r="R14">
        <f>+R12-R13</f>
        <v>345.1887999999999</v>
      </c>
    </row>
    <row r="15" spans="2:23" x14ac:dyDescent="0.2">
      <c r="B15" t="s">
        <v>3</v>
      </c>
      <c r="D15">
        <v>211200</v>
      </c>
      <c r="J15" t="s">
        <v>35</v>
      </c>
      <c r="K15">
        <f>+E20*35%</f>
        <v>338.79999999999995</v>
      </c>
    </row>
    <row r="16" spans="2:23" x14ac:dyDescent="0.2">
      <c r="B16" t="s">
        <v>26</v>
      </c>
      <c r="D16" s="24">
        <v>0.16500000000000001</v>
      </c>
      <c r="J16" t="s">
        <v>36</v>
      </c>
      <c r="K16">
        <f>+K14+K15</f>
        <v>938.95999999999981</v>
      </c>
    </row>
    <row r="18" spans="2:18" x14ac:dyDescent="0.2">
      <c r="B18" t="s">
        <v>27</v>
      </c>
      <c r="D18">
        <f>IF(D4&lt;D15,D4*D16,D15*D16)</f>
        <v>34848</v>
      </c>
      <c r="E18">
        <f>+D18/12</f>
        <v>2904</v>
      </c>
    </row>
    <row r="19" spans="2:18" x14ac:dyDescent="0.2">
      <c r="B19" t="s">
        <v>30</v>
      </c>
      <c r="C19" s="25">
        <v>0.11</v>
      </c>
      <c r="D19">
        <f>IF(D4&lt;D15,D4*C19,D15*C19)</f>
        <v>23232</v>
      </c>
      <c r="E19">
        <f>+D19/12</f>
        <v>1936</v>
      </c>
      <c r="F19" t="s">
        <v>33</v>
      </c>
      <c r="H19" s="26">
        <f>+D3-E19</f>
        <v>18064</v>
      </c>
    </row>
    <row r="20" spans="2:18" x14ac:dyDescent="0.2">
      <c r="B20" t="s">
        <v>31</v>
      </c>
      <c r="C20" s="24">
        <v>5.5E-2</v>
      </c>
      <c r="D20">
        <f>IF(D4&lt;D15,D4*C20,D15*C20)</f>
        <v>11616</v>
      </c>
      <c r="E20">
        <f>+D20/12</f>
        <v>968</v>
      </c>
      <c r="J20" t="s">
        <v>13</v>
      </c>
      <c r="L20">
        <f>+פנסיה!B26</f>
        <v>1500</v>
      </c>
      <c r="M20" t="s">
        <v>29</v>
      </c>
      <c r="N20">
        <f>+K12</f>
        <v>3792.46</v>
      </c>
      <c r="P20" t="s">
        <v>40</v>
      </c>
      <c r="R20">
        <f>+R12</f>
        <v>2815.1433999999999</v>
      </c>
    </row>
    <row r="21" spans="2:18" x14ac:dyDescent="0.2">
      <c r="M21" t="s">
        <v>32</v>
      </c>
      <c r="N21">
        <f>IF(L26&lt;J3,L26*L3,IF(L26&lt;J4,(L26-J3)*L4+N3,IF(L26&lt;J5,(L26-J4)*L5+N4,IF(L26&lt;J6,(L26-J5)*L6+N5,IF(L26&lt;J7,(L26-J6)*L7+N6,(L26-J8)*L8+N7)))))</f>
        <v>3410.54</v>
      </c>
      <c r="P21" t="s">
        <v>41</v>
      </c>
      <c r="R21">
        <f>IF(L26&lt;Q3,L26*R3,IF(L26&lt;Q4,(L26-Q3)*R4+(Q3*R3),(Q4-Q3)*R4+(Q3*R3)))</f>
        <v>2595.4778000000001</v>
      </c>
    </row>
    <row r="22" spans="2:18" x14ac:dyDescent="0.2">
      <c r="C22" s="25">
        <v>7.0000000000000007E-2</v>
      </c>
      <c r="D22">
        <f>+C22*$E$18/16.5%</f>
        <v>1232.0000000000002</v>
      </c>
      <c r="E22">
        <f>+D22</f>
        <v>1232.0000000000002</v>
      </c>
      <c r="J22" t="s">
        <v>30</v>
      </c>
      <c r="K22" s="25">
        <v>7.0000000000000007E-2</v>
      </c>
      <c r="L22">
        <f>IF(L20&lt;E22,L20,E22)</f>
        <v>1232.0000000000002</v>
      </c>
      <c r="M22" t="s">
        <v>34</v>
      </c>
      <c r="N22">
        <f>+N20-N21</f>
        <v>381.92000000000007</v>
      </c>
      <c r="P22" t="s">
        <v>42</v>
      </c>
      <c r="R22">
        <f>+R20-R21</f>
        <v>219.66559999999981</v>
      </c>
    </row>
    <row r="23" spans="2:18" x14ac:dyDescent="0.2">
      <c r="C23" s="24">
        <v>5.5E-2</v>
      </c>
      <c r="D23">
        <f t="shared" ref="D23:D24" si="2">+C23*$E$18/16.5%</f>
        <v>968</v>
      </c>
      <c r="E23">
        <f>+E22+D23</f>
        <v>2200</v>
      </c>
      <c r="J23" t="s">
        <v>31</v>
      </c>
      <c r="K23" s="24">
        <v>5.5E-2</v>
      </c>
      <c r="L23">
        <f>IF(L20&lt;E23,IF(L20&lt;E22,0,L20-E22),D23)</f>
        <v>267.99999999999977</v>
      </c>
      <c r="M23" t="s">
        <v>35</v>
      </c>
      <c r="N23">
        <f>+L23*35%</f>
        <v>93.799999999999912</v>
      </c>
    </row>
    <row r="24" spans="2:18" x14ac:dyDescent="0.2">
      <c r="C24" s="25">
        <v>0.04</v>
      </c>
      <c r="D24">
        <f t="shared" si="2"/>
        <v>704</v>
      </c>
      <c r="E24">
        <f>+E23+D24</f>
        <v>2904</v>
      </c>
      <c r="J24" t="s">
        <v>30</v>
      </c>
      <c r="K24" s="25">
        <v>0.04</v>
      </c>
      <c r="L24">
        <f>IF(L20&lt;E24,IF(L20&lt;E23,0,L20-E23),D24)</f>
        <v>0</v>
      </c>
      <c r="M24" t="s">
        <v>36</v>
      </c>
      <c r="N24">
        <f>+N22+N23</f>
        <v>475.71999999999997</v>
      </c>
    </row>
    <row r="25" spans="2:18" x14ac:dyDescent="0.2">
      <c r="J25" t="s">
        <v>47</v>
      </c>
      <c r="L25">
        <f>+L22+L24</f>
        <v>1232.0000000000002</v>
      </c>
    </row>
    <row r="26" spans="2:18" x14ac:dyDescent="0.2">
      <c r="J26" t="s">
        <v>48</v>
      </c>
      <c r="L26" s="27">
        <f>+D3-L25</f>
        <v>18768</v>
      </c>
    </row>
  </sheetData>
  <sheetProtection algorithmName="SHA-512" hashValue="Bh9rhlRtwuK9R2EwEvV3QABq/ngmVyaDBDdT9gyQJX0ox8Y2gyJPLGnNDluiXndcz4SoLyEguuAumNMYPvYbZw==" saltValue="9s2w937j2aWbHZivLnlE1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פנסיה</vt:lpstr>
      <vt:lpstr>קרן השתלמות</vt:lpstr>
      <vt:lpstr>נתוני חישוב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Haim Ilovitch</cp:lastModifiedBy>
  <dcterms:created xsi:type="dcterms:W3CDTF">2019-10-02T08:27:27Z</dcterms:created>
  <dcterms:modified xsi:type="dcterms:W3CDTF">2021-01-03T06:43:14Z</dcterms:modified>
</cp:coreProperties>
</file>